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2"/>
  </bookViews>
  <sheets>
    <sheet name="Frame Calculator" sheetId="2" r:id="rId1"/>
    <sheet name="Dowel foot calculator" sheetId="1" r:id="rId2"/>
    <sheet name="Mitered Frame Calculator" sheetId="3" r:id="rId3"/>
  </sheets>
  <definedNames>
    <definedName name="Allowance">'Mitered Frame Calculator'!$C$9</definedName>
    <definedName name="Fair">'Dowel foot calculator'!$C$20</definedName>
    <definedName name="Fraction">'Mitered Frame Calculator'!$C$8</definedName>
    <definedName name="Good">'Dowel foot calculator'!$C$21</definedName>
    <definedName name="Kerf">'Mitered Frame Calculator'!$C$10</definedName>
    <definedName name="Pheight">'Mitered Frame Calculator'!$C$14</definedName>
    <definedName name="Poor">'Dowel foot calculator'!$C$19</definedName>
    <definedName name="PWidth">'Mitered Frame Calculator'!$C$13</definedName>
    <definedName name="Rabbet">'Mitered Frame Calculator'!$C$7</definedName>
    <definedName name="Thickness">'Mitered Frame Calculator'!$C$5</definedName>
    <definedName name="Width">'Mitered Frame Calculator'!$C$6</definedName>
  </definedNames>
  <calcPr calcId="145621"/>
</workbook>
</file>

<file path=xl/calcChain.xml><?xml version="1.0" encoding="utf-8"?>
<calcChain xmlns="http://schemas.openxmlformats.org/spreadsheetml/2006/main">
  <c r="D7" i="3" l="1"/>
  <c r="A4" i="3" l="1"/>
  <c r="C20" i="3"/>
  <c r="C22" i="3" s="1"/>
  <c r="D5" i="3"/>
  <c r="D21" i="3"/>
  <c r="D27" i="3" s="1"/>
  <c r="C21" i="3"/>
  <c r="C27" i="3" s="1"/>
  <c r="D20" i="3"/>
  <c r="C5" i="3"/>
  <c r="D22" i="3" l="1"/>
  <c r="D23" i="3" s="1"/>
  <c r="D29" i="3" s="1"/>
  <c r="D26" i="3"/>
  <c r="C28" i="3"/>
  <c r="C23" i="3"/>
  <c r="C29" i="3"/>
  <c r="C26" i="3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D15" i="1"/>
  <c r="D28" i="3" l="1"/>
  <c r="E29" i="3"/>
  <c r="E23" i="3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S5" i="1" s="1"/>
  <c r="T5" i="1" s="1"/>
  <c r="R19" i="1"/>
  <c r="R18" i="1"/>
  <c r="R17" i="1"/>
  <c r="R16" i="1"/>
  <c r="R15" i="1"/>
  <c r="R14" i="1"/>
  <c r="R13" i="1"/>
  <c r="R12" i="1"/>
  <c r="R11" i="1"/>
  <c r="R10" i="1"/>
  <c r="R9" i="1"/>
  <c r="R8" i="1"/>
  <c r="S8" i="1" s="1"/>
  <c r="T8" i="1" s="1"/>
  <c r="R7" i="1"/>
  <c r="R6" i="1"/>
  <c r="R5" i="1"/>
  <c r="S17" i="1" l="1"/>
  <c r="T17" i="1" s="1"/>
  <c r="S15" i="1"/>
  <c r="T15" i="1" s="1"/>
  <c r="S14" i="1"/>
  <c r="T14" i="1" s="1"/>
  <c r="S13" i="1"/>
  <c r="T13" i="1" s="1"/>
  <c r="S9" i="1"/>
  <c r="T9" i="1" s="1"/>
  <c r="S6" i="1"/>
  <c r="T6" i="1" s="1"/>
  <c r="S10" i="1"/>
  <c r="T10" i="1" s="1"/>
  <c r="S7" i="1"/>
  <c r="T7" i="1" s="1"/>
  <c r="S19" i="1"/>
  <c r="T19" i="1" s="1"/>
  <c r="S18" i="1"/>
  <c r="T18" i="1" s="1"/>
  <c r="S16" i="1"/>
  <c r="T16" i="1" s="1"/>
  <c r="S12" i="1"/>
  <c r="T12" i="1" s="1"/>
  <c r="S11" i="1"/>
  <c r="T11" i="1" s="1"/>
  <c r="L19" i="1"/>
  <c r="M19" i="1" s="1"/>
  <c r="L18" i="1"/>
  <c r="M18" i="1" s="1"/>
  <c r="L17" i="1"/>
  <c r="M17" i="1" s="1"/>
  <c r="P17" i="1" s="1"/>
  <c r="L16" i="1"/>
  <c r="M16" i="1" s="1"/>
  <c r="L15" i="1"/>
  <c r="M15" i="1" s="1"/>
  <c r="L14" i="1"/>
  <c r="M14" i="1" s="1"/>
  <c r="L13" i="1"/>
  <c r="M13" i="1" s="1"/>
  <c r="P13" i="1" s="1"/>
  <c r="L12" i="1"/>
  <c r="M12" i="1" s="1"/>
  <c r="L11" i="1"/>
  <c r="M11" i="1" s="1"/>
  <c r="L10" i="1"/>
  <c r="M10" i="1" s="1"/>
  <c r="L9" i="1"/>
  <c r="M9" i="1" s="1"/>
  <c r="P9" i="1" s="1"/>
  <c r="L8" i="1"/>
  <c r="M8" i="1" s="1"/>
  <c r="P8" i="1" s="1"/>
  <c r="L7" i="1"/>
  <c r="M7" i="1" s="1"/>
  <c r="L6" i="1"/>
  <c r="M6" i="1" s="1"/>
  <c r="L5" i="1"/>
  <c r="M5" i="1" s="1"/>
  <c r="O5" i="1" s="1"/>
  <c r="P12" i="1" l="1"/>
  <c r="O12" i="1"/>
  <c r="P16" i="1"/>
  <c r="O16" i="1"/>
  <c r="O8" i="1"/>
  <c r="P5" i="1"/>
  <c r="P6" i="1"/>
  <c r="O6" i="1"/>
  <c r="P15" i="1"/>
  <c r="O15" i="1"/>
  <c r="P11" i="1"/>
  <c r="O11" i="1"/>
  <c r="P18" i="1"/>
  <c r="O18" i="1"/>
  <c r="P7" i="1"/>
  <c r="O7" i="1"/>
  <c r="O14" i="1"/>
  <c r="P14" i="1"/>
  <c r="O10" i="1"/>
  <c r="P10" i="1"/>
  <c r="P19" i="1"/>
  <c r="O19" i="1"/>
  <c r="O9" i="1"/>
  <c r="O13" i="1"/>
  <c r="O17" i="1"/>
</calcChain>
</file>

<file path=xl/sharedStrings.xml><?xml version="1.0" encoding="utf-8"?>
<sst xmlns="http://schemas.openxmlformats.org/spreadsheetml/2006/main" count="91" uniqueCount="73">
  <si>
    <t>A</t>
  </si>
  <si>
    <t>K</t>
  </si>
  <si>
    <t>D</t>
  </si>
  <si>
    <t>L</t>
  </si>
  <si>
    <t>H</t>
  </si>
  <si>
    <t>L2</t>
  </si>
  <si>
    <t>H2</t>
  </si>
  <si>
    <t>H3</t>
  </si>
  <si>
    <t>Sin(A)</t>
  </si>
  <si>
    <t>Dowel Cut len</t>
  </si>
  <si>
    <t>Frame Ht below dowel</t>
  </si>
  <si>
    <t>Dowel Frame Foot Calculations</t>
  </si>
  <si>
    <t>Dowel Dia (x 1/16th inches)</t>
  </si>
  <si>
    <t>Dowel Length (inches)</t>
  </si>
  <si>
    <t>Frame Tilt Angle (degrees)</t>
  </si>
  <si>
    <t>COG</t>
  </si>
  <si>
    <t>Stability</t>
  </si>
  <si>
    <t>Dowel X-extension inches</t>
  </si>
  <si>
    <t>stability factor</t>
  </si>
  <si>
    <t>Ext</t>
  </si>
  <si>
    <t>No</t>
  </si>
  <si>
    <t>Poor</t>
  </si>
  <si>
    <t>Fair</t>
  </si>
  <si>
    <t>Good</t>
  </si>
  <si>
    <t>Minimum stability criteria</t>
  </si>
  <si>
    <t>How stable is this?</t>
  </si>
  <si>
    <t>HF</t>
  </si>
  <si>
    <t>X-axis location of frame center</t>
  </si>
  <si>
    <t>Overall Height of frame (inches)</t>
  </si>
  <si>
    <t>© Loring Chien</t>
  </si>
  <si>
    <t>Dowel center ht - inches (drill Location)</t>
  </si>
  <si>
    <t>Dowel top Ht (check for breakout!)</t>
  </si>
  <si>
    <t>&gt;</t>
  </si>
  <si>
    <t>Dowel hole depth (inches)</t>
  </si>
  <si>
    <t>Frame Calculator Spreadsheet</t>
  </si>
  <si>
    <t>Loring Chien</t>
  </si>
  <si>
    <t>This spreadsheet has two Calculators</t>
  </si>
  <si>
    <t>Mitered Picture Frame Calculator</t>
  </si>
  <si>
    <t>Dowel Foot Calculator (for a support foot for a table standing frame)</t>
  </si>
  <si>
    <t>Frame Material</t>
  </si>
  <si>
    <t>Thickness</t>
  </si>
  <si>
    <t>Width</t>
  </si>
  <si>
    <t>Rabbet</t>
  </si>
  <si>
    <t>T</t>
  </si>
  <si>
    <t>W</t>
  </si>
  <si>
    <t>R</t>
  </si>
  <si>
    <t>Fraction</t>
  </si>
  <si>
    <t>Frame</t>
  </si>
  <si>
    <t>Allowance</t>
  </si>
  <si>
    <t>F</t>
  </si>
  <si>
    <t>Decimal inches</t>
  </si>
  <si>
    <t>Height</t>
  </si>
  <si>
    <t>Fractional inches</t>
  </si>
  <si>
    <t>Kerf</t>
  </si>
  <si>
    <t>Decimal Inches</t>
  </si>
  <si>
    <t>Fractional inches 1/16th</t>
  </si>
  <si>
    <t>Picture  Dimensions</t>
  </si>
  <si>
    <t>Pwidth</t>
  </si>
  <si>
    <t>Pheight</t>
  </si>
  <si>
    <t>Total Material Length (inches)</t>
  </si>
  <si>
    <t>=====================  Calculations  =======================</t>
  </si>
  <si>
    <t>Picture Width</t>
  </si>
  <si>
    <t>Picture Height</t>
  </si>
  <si>
    <t>*</t>
  </si>
  <si>
    <t>Req'd for Calcs</t>
  </si>
  <si>
    <t>Mitered Picture Frame Calculation</t>
  </si>
  <si>
    <t>2x(W+H)</t>
  </si>
  <si>
    <t>rev 4/22/2022</t>
  </si>
  <si>
    <t>Fill in highlighted Cells</t>
  </si>
  <si>
    <t>Includes Kerf allowance</t>
  </si>
  <si>
    <t>C (outside dim)</t>
  </si>
  <si>
    <t>A (Opening)</t>
  </si>
  <si>
    <t>B (Art Dimension)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</si>
</sst>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0.000"/>
    <numFmt numFmtId="165" formatCode="#\ ??/16"/>
  </numFmts>
  <fonts count="8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top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 vertical="top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2" fillId="0" borderId="1" xfId="0" applyFont="1" applyBorder="1" applyAlignment="1">
      <alignment horizontal="center" vertical="top" wrapText="1"/>
    </xf>
    <xf numFmtId="0" fontId="0" fillId="3" borderId="1" xfId="0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0" applyNumberFormat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top" wrapText="1"/>
    </xf>
    <xf numFmtId="164" fontId="0" fillId="3" borderId="1" xfId="0" applyNumberFormat="1" applyFill="1" applyBorder="1" applyAlignment="1">
      <alignment horizontal="center"/>
    </xf>
    <xf numFmtId="0" fontId="5" fillId="0" borderId="0" xfId="0" applyFont="1"/>
    <xf numFmtId="15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4" fillId="0" borderId="0" xfId="0" quotePrefix="1" applyFont="1"/>
    <xf numFmtId="0" fontId="0" fillId="0" borderId="0" xfId="0" applyFill="1"/>
    <xf numFmtId="14" fontId="0" fillId="0" borderId="0" xfId="0" applyNumberFormat="1"/>
    <xf numFmtId="0" fontId="1" fillId="0" borderId="0" xfId="0" applyFont="1" applyAlignment="1">
      <alignment wrapText="1"/>
    </xf>
    <xf numFmtId="165" fontId="0" fillId="0" borderId="0" xfId="1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165" fontId="0" fillId="0" borderId="0" xfId="1" applyNumberFormat="1" applyFont="1" applyFill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219807</xdr:colOff>
      <xdr:row>1</xdr:row>
      <xdr:rowOff>73269</xdr:rowOff>
    </xdr:from>
    <xdr:to>
      <xdr:col>5</xdr:col>
      <xdr:colOff>360684</xdr:colOff>
      <xdr:row>13</xdr:row>
      <xdr:rowOff>129687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807" y="263769"/>
          <a:ext cx="2861163" cy="29652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79375</xdr:colOff>
      <xdr:row>23</xdr:row>
      <xdr:rowOff>31750</xdr:rowOff>
    </xdr:from>
    <xdr:to>
      <xdr:col>19</xdr:col>
      <xdr:colOff>264036</xdr:colOff>
      <xdr:row>63</xdr:row>
      <xdr:rowOff>184150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625" y="5032375"/>
          <a:ext cx="8096184" cy="77724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66</xdr:row>
      <xdr:rowOff>0</xdr:rowOff>
    </xdr:from>
    <xdr:to>
      <xdr:col>22</xdr:col>
      <xdr:colOff>337127</xdr:colOff>
      <xdr:row>94</xdr:row>
      <xdr:rowOff>165351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" y="13192125"/>
          <a:ext cx="10058400" cy="5499351"/>
        </a:xfrm>
        <a:prstGeom prst="rect">
          <a:avLst/>
        </a:prstGeom>
      </xdr:spPr>
    </xdr:pic>
    <xdr:clientData/>
  </xdr:twoCellAnchor>
  <xdr:twoCellAnchor>
    <xdr:from>
      <xdr:col>9</xdr:col>
      <xdr:colOff>424295</xdr:colOff>
      <xdr:row>35</xdr:row>
      <xdr:rowOff>129885</xdr:rowOff>
    </xdr:from>
    <xdr:to>
      <xdr:col>14</xdr:col>
      <xdr:colOff>381000</xdr:colOff>
      <xdr:row>41</xdr:row>
      <xdr:rowOff>8658</xdr:rowOff>
    </xdr:to>
    <xdr:sp macro="" textlink="">
      <xdr:nvSpPr>
        <xdr:cNvPr id="7" name="TextBox 6"/>
        <xdr:cNvSpPr txBox="1"/>
      </xdr:nvSpPr>
      <xdr:spPr>
        <a:xfrm>
          <a:off x="5559136" y="7420840"/>
          <a:ext cx="2381250" cy="10217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Prevent hole breakout! Make sure that H3 is  somewhat less than the width of the lower frame edge or else place the dowel hole in the vertical frame member!</a:t>
          </a:r>
        </a:p>
      </xdr:txBody>
    </xdr:sp>
    <xdr:clientData/>
  </xdr:twoCellAnchor>
  <xdr:twoCellAnchor>
    <xdr:from>
      <xdr:col>9</xdr:col>
      <xdr:colOff>441614</xdr:colOff>
      <xdr:row>31</xdr:row>
      <xdr:rowOff>60613</xdr:rowOff>
    </xdr:from>
    <xdr:to>
      <xdr:col>14</xdr:col>
      <xdr:colOff>389659</xdr:colOff>
      <xdr:row>34</xdr:row>
      <xdr:rowOff>138545</xdr:rowOff>
    </xdr:to>
    <xdr:sp macro="" textlink="">
      <xdr:nvSpPr>
        <xdr:cNvPr id="8" name="TextBox 7"/>
        <xdr:cNvSpPr txBox="1"/>
      </xdr:nvSpPr>
      <xdr:spPr>
        <a:xfrm>
          <a:off x="5576455" y="6589568"/>
          <a:ext cx="2372590" cy="6494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Drill a</a:t>
          </a:r>
          <a:r>
            <a:rPr lang="en-US" sz="1100" baseline="0"/>
            <a:t> hole matching the dowel diameter at H2 from the bottom edge of the frame, 3/8" deep.</a:t>
          </a:r>
          <a:endParaRPr lang="en-US" sz="1100"/>
        </a:p>
      </xdr:txBody>
    </xdr:sp>
    <xdr:clientData/>
  </xdr:twoCellAnchor>
  <xdr:twoCellAnchor>
    <xdr:from>
      <xdr:col>9</xdr:col>
      <xdr:colOff>458932</xdr:colOff>
      <xdr:row>28</xdr:row>
      <xdr:rowOff>60613</xdr:rowOff>
    </xdr:from>
    <xdr:to>
      <xdr:col>14</xdr:col>
      <xdr:colOff>389659</xdr:colOff>
      <xdr:row>30</xdr:row>
      <xdr:rowOff>121227</xdr:rowOff>
    </xdr:to>
    <xdr:sp macro="" textlink="">
      <xdr:nvSpPr>
        <xdr:cNvPr id="10" name="TextBox 9"/>
        <xdr:cNvSpPr txBox="1"/>
      </xdr:nvSpPr>
      <xdr:spPr>
        <a:xfrm>
          <a:off x="5593773" y="6018068"/>
          <a:ext cx="2355272" cy="44161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Cut</a:t>
          </a:r>
          <a:r>
            <a:rPr lang="en-US" sz="1100" baseline="0"/>
            <a:t> Dowel to length L2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3</xdr:row>
      <xdr:rowOff>457200</xdr:rowOff>
    </xdr:from>
    <xdr:to>
      <xdr:col>15</xdr:col>
      <xdr:colOff>95250</xdr:colOff>
      <xdr:row>31</xdr:row>
      <xdr:rowOff>38128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0" y="838200"/>
          <a:ext cx="5572125" cy="5724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0"/>
  <sheetViews>
    <sheetView workbookViewId="0">
      <selection activeCell="C19" sqref="C19"/>
    </sheetView>
  </sheetViews>
  <sheetFormatPr defaultRowHeight="15" x14ac:dyDescent="0.25"/>
  <cols>
    <col min="6" max="6" width="9.85546875" bestFit="1" customWidth="1"/>
  </cols>
  <sheetData>
    <row r="3" spans="2:6" ht="26.25" x14ac:dyDescent="0.4">
      <c r="B3" s="21" t="s">
        <v>34</v>
      </c>
    </row>
    <row r="4" spans="2:6" ht="26.25" x14ac:dyDescent="0.4">
      <c r="B4" s="21" t="s">
        <v>35</v>
      </c>
      <c r="F4" s="22">
        <v>44641</v>
      </c>
    </row>
    <row r="6" spans="2:6" x14ac:dyDescent="0.25">
      <c r="B6" t="s">
        <v>36</v>
      </c>
    </row>
    <row r="8" spans="2:6" ht="26.25" x14ac:dyDescent="0.4">
      <c r="B8" s="21" t="s">
        <v>37</v>
      </c>
    </row>
    <row r="9" spans="2:6" ht="26.25" x14ac:dyDescent="0.4">
      <c r="B9" s="21"/>
    </row>
    <row r="10" spans="2:6" ht="26.25" x14ac:dyDescent="0.4">
      <c r="B10" s="21" t="s">
        <v>38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zoomScale="110" zoomScaleNormal="110" workbookViewId="0">
      <selection activeCell="G23" sqref="G23"/>
    </sheetView>
  </sheetViews>
  <sheetFormatPr defaultRowHeight="15" x14ac:dyDescent="0.25"/>
  <cols>
    <col min="2" max="2" width="4.28515625" customWidth="1"/>
    <col min="8" max="11" width="9.140625" style="1"/>
    <col min="12" max="12" width="0" style="4" hidden="1" customWidth="1"/>
    <col min="13" max="13" width="9.140625" style="7"/>
    <col min="14" max="15" width="9.140625" style="4"/>
    <col min="16" max="16" width="10.140625" style="4" customWidth="1"/>
    <col min="17" max="19" width="9.140625" style="4" hidden="1" customWidth="1"/>
    <col min="20" max="20" width="9.140625" style="4"/>
  </cols>
  <sheetData>
    <row r="1" spans="1:20" x14ac:dyDescent="0.25">
      <c r="H1" s="6" t="s">
        <v>11</v>
      </c>
      <c r="M1" s="17" t="s">
        <v>29</v>
      </c>
      <c r="O1" s="5">
        <v>44324</v>
      </c>
    </row>
    <row r="3" spans="1:20" x14ac:dyDescent="0.25">
      <c r="H3" s="11" t="s">
        <v>0</v>
      </c>
      <c r="I3" s="11" t="s">
        <v>2</v>
      </c>
      <c r="J3" s="11" t="s">
        <v>3</v>
      </c>
      <c r="K3" s="11" t="s">
        <v>26</v>
      </c>
      <c r="L3" s="12" t="s">
        <v>1</v>
      </c>
      <c r="M3" s="18" t="s">
        <v>4</v>
      </c>
      <c r="N3" s="12" t="s">
        <v>5</v>
      </c>
      <c r="O3" s="12" t="s">
        <v>6</v>
      </c>
      <c r="P3" s="12" t="s">
        <v>7</v>
      </c>
      <c r="Q3" s="12" t="s">
        <v>15</v>
      </c>
      <c r="R3" s="12" t="s">
        <v>19</v>
      </c>
      <c r="S3" s="12" t="s">
        <v>16</v>
      </c>
      <c r="T3" s="12" t="s">
        <v>16</v>
      </c>
    </row>
    <row r="4" spans="1:20" ht="63.75" x14ac:dyDescent="0.25">
      <c r="H4" s="9" t="s">
        <v>14</v>
      </c>
      <c r="I4" s="9" t="s">
        <v>12</v>
      </c>
      <c r="J4" s="9" t="s">
        <v>13</v>
      </c>
      <c r="K4" s="9" t="s">
        <v>28</v>
      </c>
      <c r="L4" s="9" t="s">
        <v>8</v>
      </c>
      <c r="M4" s="19" t="s">
        <v>10</v>
      </c>
      <c r="N4" s="9" t="s">
        <v>9</v>
      </c>
      <c r="O4" s="9" t="s">
        <v>30</v>
      </c>
      <c r="P4" s="9" t="s">
        <v>31</v>
      </c>
      <c r="Q4" s="13" t="s">
        <v>27</v>
      </c>
      <c r="R4" s="14" t="s">
        <v>17</v>
      </c>
      <c r="S4" s="13" t="s">
        <v>18</v>
      </c>
      <c r="T4" s="13" t="s">
        <v>25</v>
      </c>
    </row>
    <row r="5" spans="1:20" x14ac:dyDescent="0.25">
      <c r="H5" s="2">
        <v>17</v>
      </c>
      <c r="I5" s="3">
        <v>3</v>
      </c>
      <c r="J5" s="3">
        <v>3</v>
      </c>
      <c r="K5" s="3">
        <v>10.375</v>
      </c>
      <c r="L5" s="10">
        <f>SIN(H5*2*3.1415926/360)</f>
        <v>0.2923716998826314</v>
      </c>
      <c r="M5" s="20">
        <f>L5*J5</f>
        <v>0.87711509964789425</v>
      </c>
      <c r="N5" s="15">
        <f>J5+$D$15</f>
        <v>3.375</v>
      </c>
      <c r="O5" s="15">
        <f>M5+I5/32</f>
        <v>0.97086509964789425</v>
      </c>
      <c r="P5" s="15">
        <f>M5+I5/16</f>
        <v>1.0646150996478942</v>
      </c>
      <c r="Q5" s="15">
        <f>K5*SIN(H5*3.1415926/180)/2</f>
        <v>1.5166781931411504</v>
      </c>
      <c r="R5" s="15">
        <f>J5*COS(H5*3.1415926/180)</f>
        <v>2.8689142723284125</v>
      </c>
      <c r="S5" s="15">
        <f>R5/Q5</f>
        <v>1.8915774521598965</v>
      </c>
      <c r="T5" s="16" t="str">
        <f t="shared" ref="T5:T19" si="0">IF(S5&gt;Good, "Good",IF(S5&gt;Fair,"Fair",IF(S5&gt;Poor,"Poor","No")))</f>
        <v>Fair</v>
      </c>
    </row>
    <row r="6" spans="1:20" x14ac:dyDescent="0.25">
      <c r="H6" s="2">
        <v>17</v>
      </c>
      <c r="I6" s="2">
        <v>3</v>
      </c>
      <c r="J6" s="2">
        <v>2.75</v>
      </c>
      <c r="K6" s="3">
        <v>10.375</v>
      </c>
      <c r="L6" s="10">
        <f t="shared" ref="L6:L19" si="1">SIN(H6*2*3.1415926/360)</f>
        <v>0.2923716998826314</v>
      </c>
      <c r="M6" s="20">
        <f t="shared" ref="M6:M19" si="2">L6*J6</f>
        <v>0.80402217467723636</v>
      </c>
      <c r="N6" s="15">
        <f t="shared" ref="N6:N19" si="3">J6+$D$15</f>
        <v>3.125</v>
      </c>
      <c r="O6" s="15">
        <f t="shared" ref="O6:O19" si="4">M6+I6/32</f>
        <v>0.89777217467723636</v>
      </c>
      <c r="P6" s="15">
        <f t="shared" ref="P6:P19" si="5">M6+I6/16</f>
        <v>0.99152217467723636</v>
      </c>
      <c r="Q6" s="15">
        <f t="shared" ref="Q6:Q19" si="6">K6*SIN(H6*3.1415926/180)/2</f>
        <v>1.5166781931411504</v>
      </c>
      <c r="R6" s="15">
        <f t="shared" ref="R6:R19" si="7">J6*COS(H6*3.1415926/180)</f>
        <v>2.6298380829677117</v>
      </c>
      <c r="S6" s="15">
        <f t="shared" ref="S6:S19" si="8">R6/Q6</f>
        <v>1.7339459978132385</v>
      </c>
      <c r="T6" s="16" t="str">
        <f t="shared" si="0"/>
        <v>Fair</v>
      </c>
    </row>
    <row r="7" spans="1:20" x14ac:dyDescent="0.25">
      <c r="H7" s="2">
        <v>17</v>
      </c>
      <c r="I7" s="2">
        <v>3</v>
      </c>
      <c r="J7" s="2">
        <v>2.5</v>
      </c>
      <c r="K7" s="3">
        <v>10.375</v>
      </c>
      <c r="L7" s="10">
        <f t="shared" si="1"/>
        <v>0.2923716998826314</v>
      </c>
      <c r="M7" s="20">
        <f t="shared" si="2"/>
        <v>0.73092924970657847</v>
      </c>
      <c r="N7" s="15">
        <f t="shared" si="3"/>
        <v>2.875</v>
      </c>
      <c r="O7" s="15">
        <f t="shared" si="4"/>
        <v>0.82467924970657847</v>
      </c>
      <c r="P7" s="15">
        <f t="shared" si="5"/>
        <v>0.91842924970657847</v>
      </c>
      <c r="Q7" s="15">
        <f t="shared" si="6"/>
        <v>1.5166781931411504</v>
      </c>
      <c r="R7" s="15">
        <f t="shared" si="7"/>
        <v>2.3907618936070105</v>
      </c>
      <c r="S7" s="15">
        <f t="shared" si="8"/>
        <v>1.5763145434665804</v>
      </c>
      <c r="T7" s="16" t="str">
        <f t="shared" si="0"/>
        <v>Fair</v>
      </c>
    </row>
    <row r="8" spans="1:20" x14ac:dyDescent="0.25">
      <c r="H8" s="2">
        <v>17</v>
      </c>
      <c r="I8" s="2">
        <v>3</v>
      </c>
      <c r="J8" s="2">
        <v>2.25</v>
      </c>
      <c r="K8" s="3">
        <v>10.375</v>
      </c>
      <c r="L8" s="10">
        <f t="shared" si="1"/>
        <v>0.2923716998826314</v>
      </c>
      <c r="M8" s="20">
        <f t="shared" si="2"/>
        <v>0.65783632473592069</v>
      </c>
      <c r="N8" s="15">
        <f t="shared" si="3"/>
        <v>2.625</v>
      </c>
      <c r="O8" s="15">
        <f t="shared" si="4"/>
        <v>0.75158632473592069</v>
      </c>
      <c r="P8" s="15">
        <f t="shared" si="5"/>
        <v>0.84533632473592069</v>
      </c>
      <c r="Q8" s="15">
        <f t="shared" si="6"/>
        <v>1.5166781931411504</v>
      </c>
      <c r="R8" s="15">
        <f t="shared" si="7"/>
        <v>2.1516857042463093</v>
      </c>
      <c r="S8" s="15">
        <f t="shared" si="8"/>
        <v>1.4186830891199222</v>
      </c>
      <c r="T8" s="16" t="str">
        <f t="shared" si="0"/>
        <v>Fair</v>
      </c>
    </row>
    <row r="9" spans="1:20" x14ac:dyDescent="0.25">
      <c r="H9" s="2">
        <v>17</v>
      </c>
      <c r="I9" s="2">
        <v>3</v>
      </c>
      <c r="J9" s="2">
        <v>2</v>
      </c>
      <c r="K9" s="3">
        <v>10.375</v>
      </c>
      <c r="L9" s="10">
        <f t="shared" si="1"/>
        <v>0.2923716998826314</v>
      </c>
      <c r="M9" s="20">
        <f t="shared" si="2"/>
        <v>0.58474339976526279</v>
      </c>
      <c r="N9" s="15">
        <f t="shared" si="3"/>
        <v>2.375</v>
      </c>
      <c r="O9" s="15">
        <f t="shared" si="4"/>
        <v>0.67849339976526279</v>
      </c>
      <c r="P9" s="15">
        <f t="shared" si="5"/>
        <v>0.77224339976526279</v>
      </c>
      <c r="Q9" s="15">
        <f t="shared" si="6"/>
        <v>1.5166781931411504</v>
      </c>
      <c r="R9" s="15">
        <f t="shared" si="7"/>
        <v>1.9126095148856084</v>
      </c>
      <c r="S9" s="15">
        <f t="shared" si="8"/>
        <v>1.2610516347732643</v>
      </c>
      <c r="T9" s="16" t="str">
        <f t="shared" si="0"/>
        <v>Poor</v>
      </c>
    </row>
    <row r="10" spans="1:20" x14ac:dyDescent="0.25">
      <c r="H10" s="2">
        <v>17</v>
      </c>
      <c r="I10" s="2">
        <v>3</v>
      </c>
      <c r="J10" s="2">
        <v>1.75</v>
      </c>
      <c r="K10" s="3">
        <v>10.375</v>
      </c>
      <c r="L10" s="10">
        <f t="shared" si="1"/>
        <v>0.2923716998826314</v>
      </c>
      <c r="M10" s="20">
        <f t="shared" si="2"/>
        <v>0.5116504747946049</v>
      </c>
      <c r="N10" s="15">
        <f t="shared" si="3"/>
        <v>2.125</v>
      </c>
      <c r="O10" s="15">
        <f t="shared" si="4"/>
        <v>0.6054004747946049</v>
      </c>
      <c r="P10" s="15">
        <f t="shared" si="5"/>
        <v>0.6991504747946049</v>
      </c>
      <c r="Q10" s="15">
        <f t="shared" si="6"/>
        <v>1.5166781931411504</v>
      </c>
      <c r="R10" s="15">
        <f t="shared" si="7"/>
        <v>1.6735333255249074</v>
      </c>
      <c r="S10" s="15">
        <f t="shared" si="8"/>
        <v>1.1034201804266064</v>
      </c>
      <c r="T10" s="16" t="str">
        <f t="shared" si="0"/>
        <v>Poor</v>
      </c>
    </row>
    <row r="11" spans="1:20" x14ac:dyDescent="0.25">
      <c r="H11" s="2">
        <v>17</v>
      </c>
      <c r="I11" s="2">
        <v>3</v>
      </c>
      <c r="J11" s="2">
        <v>1.5</v>
      </c>
      <c r="K11" s="3">
        <v>10.375</v>
      </c>
      <c r="L11" s="10">
        <f t="shared" si="1"/>
        <v>0.2923716998826314</v>
      </c>
      <c r="M11" s="20">
        <f t="shared" si="2"/>
        <v>0.43855754982394712</v>
      </c>
      <c r="N11" s="15">
        <f t="shared" si="3"/>
        <v>1.875</v>
      </c>
      <c r="O11" s="15">
        <f t="shared" si="4"/>
        <v>0.53230754982394712</v>
      </c>
      <c r="P11" s="15">
        <f t="shared" si="5"/>
        <v>0.62605754982394712</v>
      </c>
      <c r="Q11" s="15">
        <f t="shared" si="6"/>
        <v>1.5166781931411504</v>
      </c>
      <c r="R11" s="15">
        <f t="shared" si="7"/>
        <v>1.4344571361642062</v>
      </c>
      <c r="S11" s="15">
        <f t="shared" si="8"/>
        <v>0.94578872607994824</v>
      </c>
      <c r="T11" s="16" t="str">
        <f t="shared" si="0"/>
        <v>No</v>
      </c>
    </row>
    <row r="12" spans="1:20" x14ac:dyDescent="0.25">
      <c r="H12" s="2">
        <v>17</v>
      </c>
      <c r="I12" s="2">
        <v>3</v>
      </c>
      <c r="J12" s="2">
        <v>1</v>
      </c>
      <c r="K12" s="3">
        <v>10.375</v>
      </c>
      <c r="L12" s="10">
        <f t="shared" si="1"/>
        <v>0.2923716998826314</v>
      </c>
      <c r="M12" s="20">
        <f t="shared" si="2"/>
        <v>0.2923716998826314</v>
      </c>
      <c r="N12" s="15">
        <f t="shared" si="3"/>
        <v>1.375</v>
      </c>
      <c r="O12" s="15">
        <f t="shared" si="4"/>
        <v>0.3861216998826314</v>
      </c>
      <c r="P12" s="15">
        <f t="shared" si="5"/>
        <v>0.4798716998826314</v>
      </c>
      <c r="Q12" s="15">
        <f t="shared" si="6"/>
        <v>1.5166781931411504</v>
      </c>
      <c r="R12" s="15">
        <f t="shared" si="7"/>
        <v>0.95630475744280419</v>
      </c>
      <c r="S12" s="15">
        <f t="shared" si="8"/>
        <v>0.63052581738663216</v>
      </c>
      <c r="T12" s="16" t="str">
        <f t="shared" si="0"/>
        <v>No</v>
      </c>
    </row>
    <row r="13" spans="1:20" x14ac:dyDescent="0.25">
      <c r="H13" s="2">
        <v>15</v>
      </c>
      <c r="I13" s="2">
        <v>4</v>
      </c>
      <c r="J13" s="2">
        <v>3</v>
      </c>
      <c r="K13" s="3">
        <v>10.375</v>
      </c>
      <c r="L13" s="10">
        <f t="shared" si="1"/>
        <v>0.25881904078887363</v>
      </c>
      <c r="M13" s="20">
        <f t="shared" si="2"/>
        <v>0.7764571223666209</v>
      </c>
      <c r="N13" s="15">
        <f t="shared" si="3"/>
        <v>3.375</v>
      </c>
      <c r="O13" s="15">
        <f t="shared" si="4"/>
        <v>0.9014571223666209</v>
      </c>
      <c r="P13" s="15">
        <f t="shared" si="5"/>
        <v>1.026457122366621</v>
      </c>
      <c r="Q13" s="15">
        <f t="shared" si="6"/>
        <v>1.342623774092282</v>
      </c>
      <c r="R13" s="15">
        <f t="shared" si="7"/>
        <v>2.8977774823347193</v>
      </c>
      <c r="S13" s="15">
        <f t="shared" si="8"/>
        <v>2.158294481485584</v>
      </c>
      <c r="T13" s="16" t="str">
        <f t="shared" si="0"/>
        <v>Good</v>
      </c>
    </row>
    <row r="14" spans="1:20" x14ac:dyDescent="0.25">
      <c r="H14" s="2">
        <v>15</v>
      </c>
      <c r="I14" s="2">
        <v>4</v>
      </c>
      <c r="J14" s="2">
        <v>2.5</v>
      </c>
      <c r="K14" s="3">
        <v>10.375</v>
      </c>
      <c r="L14" s="10">
        <f t="shared" si="1"/>
        <v>0.25881904078887363</v>
      </c>
      <c r="M14" s="20">
        <f t="shared" si="2"/>
        <v>0.64704760197218403</v>
      </c>
      <c r="N14" s="15">
        <f t="shared" si="3"/>
        <v>2.875</v>
      </c>
      <c r="O14" s="15">
        <f t="shared" si="4"/>
        <v>0.77204760197218403</v>
      </c>
      <c r="P14" s="15">
        <f t="shared" si="5"/>
        <v>0.89704760197218403</v>
      </c>
      <c r="Q14" s="15">
        <f t="shared" si="6"/>
        <v>1.342623774092282</v>
      </c>
      <c r="R14" s="15">
        <f t="shared" si="7"/>
        <v>2.4148145686122664</v>
      </c>
      <c r="S14" s="15">
        <f t="shared" si="8"/>
        <v>1.79857873457132</v>
      </c>
      <c r="T14" s="16" t="str">
        <f t="shared" si="0"/>
        <v>Fair</v>
      </c>
    </row>
    <row r="15" spans="1:20" x14ac:dyDescent="0.25">
      <c r="A15" t="s">
        <v>33</v>
      </c>
      <c r="D15" s="8">
        <f>3/8</f>
        <v>0.375</v>
      </c>
      <c r="H15" s="2">
        <v>15</v>
      </c>
      <c r="I15" s="2">
        <v>4</v>
      </c>
      <c r="J15" s="2">
        <v>2.25</v>
      </c>
      <c r="K15" s="3">
        <v>10.375</v>
      </c>
      <c r="L15" s="10">
        <f t="shared" si="1"/>
        <v>0.25881904078887363</v>
      </c>
      <c r="M15" s="20">
        <f t="shared" si="2"/>
        <v>0.58234284177496565</v>
      </c>
      <c r="N15" s="15">
        <f t="shared" si="3"/>
        <v>2.625</v>
      </c>
      <c r="O15" s="15">
        <f t="shared" si="4"/>
        <v>0.70734284177496565</v>
      </c>
      <c r="P15" s="15">
        <f t="shared" si="5"/>
        <v>0.83234284177496565</v>
      </c>
      <c r="Q15" s="15">
        <f t="shared" si="6"/>
        <v>1.342623774092282</v>
      </c>
      <c r="R15" s="15">
        <f t="shared" si="7"/>
        <v>2.1733331117510395</v>
      </c>
      <c r="S15" s="15">
        <f t="shared" si="8"/>
        <v>1.6187208611141879</v>
      </c>
      <c r="T15" s="16" t="str">
        <f t="shared" si="0"/>
        <v>Fair</v>
      </c>
    </row>
    <row r="16" spans="1:20" x14ac:dyDescent="0.25">
      <c r="H16" s="2">
        <v>15</v>
      </c>
      <c r="I16" s="2">
        <v>4</v>
      </c>
      <c r="J16" s="2">
        <v>2</v>
      </c>
      <c r="K16" s="3">
        <v>10.375</v>
      </c>
      <c r="L16" s="10">
        <f t="shared" si="1"/>
        <v>0.25881904078887363</v>
      </c>
      <c r="M16" s="20">
        <f t="shared" si="2"/>
        <v>0.51763808157774727</v>
      </c>
      <c r="N16" s="15">
        <f t="shared" si="3"/>
        <v>2.375</v>
      </c>
      <c r="O16" s="15">
        <f t="shared" si="4"/>
        <v>0.64263808157774727</v>
      </c>
      <c r="P16" s="15">
        <f t="shared" si="5"/>
        <v>0.76763808157774727</v>
      </c>
      <c r="Q16" s="15">
        <f t="shared" si="6"/>
        <v>1.342623774092282</v>
      </c>
      <c r="R16" s="15">
        <f t="shared" si="7"/>
        <v>1.931851654889813</v>
      </c>
      <c r="S16" s="15">
        <f t="shared" si="8"/>
        <v>1.438862987657056</v>
      </c>
      <c r="T16" s="16" t="str">
        <f t="shared" si="0"/>
        <v>Fair</v>
      </c>
    </row>
    <row r="17" spans="1:20" x14ac:dyDescent="0.25">
      <c r="A17" t="s">
        <v>24</v>
      </c>
      <c r="H17" s="2">
        <v>17</v>
      </c>
      <c r="I17" s="2">
        <v>6</v>
      </c>
      <c r="J17" s="2">
        <v>4</v>
      </c>
      <c r="K17" s="2">
        <v>12</v>
      </c>
      <c r="L17" s="10">
        <f t="shared" si="1"/>
        <v>0.2923716998826314</v>
      </c>
      <c r="M17" s="20">
        <f t="shared" si="2"/>
        <v>1.1694867995305256</v>
      </c>
      <c r="N17" s="15">
        <f t="shared" si="3"/>
        <v>4.375</v>
      </c>
      <c r="O17" s="15">
        <f t="shared" si="4"/>
        <v>1.3569867995305256</v>
      </c>
      <c r="P17" s="15">
        <f t="shared" si="5"/>
        <v>1.5444867995305256</v>
      </c>
      <c r="Q17" s="15">
        <f t="shared" si="6"/>
        <v>1.7542301992957885</v>
      </c>
      <c r="R17" s="15">
        <f t="shared" si="7"/>
        <v>3.8252190297712167</v>
      </c>
      <c r="S17" s="15">
        <f t="shared" si="8"/>
        <v>2.1805684517954362</v>
      </c>
      <c r="T17" s="16" t="str">
        <f t="shared" si="0"/>
        <v>Good</v>
      </c>
    </row>
    <row r="18" spans="1:20" x14ac:dyDescent="0.25">
      <c r="A18" t="s">
        <v>20</v>
      </c>
      <c r="B18" s="4" t="s">
        <v>32</v>
      </c>
      <c r="C18">
        <v>0</v>
      </c>
      <c r="H18" s="2">
        <v>17</v>
      </c>
      <c r="I18" s="2"/>
      <c r="J18" s="2"/>
      <c r="K18" s="2">
        <v>8</v>
      </c>
      <c r="L18" s="10">
        <f t="shared" si="1"/>
        <v>0.2923716998826314</v>
      </c>
      <c r="M18" s="20">
        <f t="shared" si="2"/>
        <v>0</v>
      </c>
      <c r="N18" s="15">
        <f t="shared" si="3"/>
        <v>0.375</v>
      </c>
      <c r="O18" s="15">
        <f t="shared" si="4"/>
        <v>0</v>
      </c>
      <c r="P18" s="15">
        <f t="shared" si="5"/>
        <v>0</v>
      </c>
      <c r="Q18" s="15">
        <f t="shared" si="6"/>
        <v>1.1694867995305256</v>
      </c>
      <c r="R18" s="15">
        <f t="shared" si="7"/>
        <v>0</v>
      </c>
      <c r="S18" s="15">
        <f t="shared" si="8"/>
        <v>0</v>
      </c>
      <c r="T18" s="16" t="str">
        <f t="shared" si="0"/>
        <v>No</v>
      </c>
    </row>
    <row r="19" spans="1:20" x14ac:dyDescent="0.25">
      <c r="A19" t="s">
        <v>21</v>
      </c>
      <c r="B19" s="4" t="s">
        <v>32</v>
      </c>
      <c r="C19">
        <v>1</v>
      </c>
      <c r="H19" s="2">
        <v>17</v>
      </c>
      <c r="I19" s="2"/>
      <c r="J19" s="2"/>
      <c r="K19" s="2">
        <v>8</v>
      </c>
      <c r="L19" s="10">
        <f t="shared" si="1"/>
        <v>0.2923716998826314</v>
      </c>
      <c r="M19" s="20">
        <f t="shared" si="2"/>
        <v>0</v>
      </c>
      <c r="N19" s="15">
        <f t="shared" si="3"/>
        <v>0.375</v>
      </c>
      <c r="O19" s="15">
        <f t="shared" si="4"/>
        <v>0</v>
      </c>
      <c r="P19" s="15">
        <f t="shared" si="5"/>
        <v>0</v>
      </c>
      <c r="Q19" s="15">
        <f t="shared" si="6"/>
        <v>1.1694867995305256</v>
      </c>
      <c r="R19" s="15">
        <f t="shared" si="7"/>
        <v>0</v>
      </c>
      <c r="S19" s="15">
        <f t="shared" si="8"/>
        <v>0</v>
      </c>
      <c r="T19" s="16" t="str">
        <f t="shared" si="0"/>
        <v>No</v>
      </c>
    </row>
    <row r="20" spans="1:20" x14ac:dyDescent="0.25">
      <c r="A20" t="s">
        <v>22</v>
      </c>
      <c r="B20" s="4" t="s">
        <v>32</v>
      </c>
      <c r="C20">
        <v>1.3</v>
      </c>
    </row>
    <row r="21" spans="1:20" x14ac:dyDescent="0.25">
      <c r="A21" t="s">
        <v>23</v>
      </c>
      <c r="B21" s="4" t="s">
        <v>32</v>
      </c>
      <c r="C21">
        <v>2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tabSelected="1" topLeftCell="A10" workbookViewId="0">
      <selection activeCell="E37" sqref="E37"/>
    </sheetView>
  </sheetViews>
  <sheetFormatPr defaultRowHeight="15" x14ac:dyDescent="0.25"/>
  <cols>
    <col min="2" max="2" width="18" customWidth="1"/>
    <col min="4" max="4" width="11.5703125" customWidth="1"/>
    <col min="6" max="6" width="5.140625" customWidth="1"/>
    <col min="7" max="7" width="9.7109375" bestFit="1" customWidth="1"/>
  </cols>
  <sheetData>
    <row r="1" spans="1:8" x14ac:dyDescent="0.25">
      <c r="A1" t="s">
        <v>65</v>
      </c>
      <c r="D1" t="s">
        <v>35</v>
      </c>
      <c r="G1" s="28">
        <v>44642</v>
      </c>
      <c r="H1" t="s">
        <v>67</v>
      </c>
    </row>
    <row r="2" spans="1:8" x14ac:dyDescent="0.25">
      <c r="A2" t="s">
        <v>68</v>
      </c>
      <c r="G2" s="28"/>
    </row>
    <row r="4" spans="1:8" s="25" customFormat="1" ht="45.75" customHeight="1" x14ac:dyDescent="0.25">
      <c r="A4" s="36" t="str">
        <f>TEXT(Pheight,"0")&amp;"X"&amp;TEXT(PWidth,"0")</f>
        <v>8X15</v>
      </c>
      <c r="B4" s="34" t="s">
        <v>39</v>
      </c>
      <c r="C4" s="35" t="s">
        <v>54</v>
      </c>
      <c r="D4" s="35" t="s">
        <v>55</v>
      </c>
      <c r="E4" s="35" t="s">
        <v>64</v>
      </c>
    </row>
    <row r="5" spans="1:8" x14ac:dyDescent="0.25">
      <c r="A5" t="s">
        <v>43</v>
      </c>
      <c r="B5" s="23" t="s">
        <v>40</v>
      </c>
      <c r="C5" s="32">
        <f>3/4</f>
        <v>0.75</v>
      </c>
      <c r="D5" s="30">
        <f>3/4</f>
        <v>0.75</v>
      </c>
    </row>
    <row r="6" spans="1:8" ht="15.75" x14ac:dyDescent="0.25">
      <c r="A6" t="s">
        <v>44</v>
      </c>
      <c r="B6" s="23" t="s">
        <v>41</v>
      </c>
      <c r="C6" s="32">
        <v>2.5</v>
      </c>
      <c r="D6" s="30">
        <v>2.5</v>
      </c>
      <c r="E6" s="31" t="s">
        <v>63</v>
      </c>
    </row>
    <row r="7" spans="1:8" ht="15.75" x14ac:dyDescent="0.25">
      <c r="A7" t="s">
        <v>45</v>
      </c>
      <c r="B7" s="23" t="s">
        <v>42</v>
      </c>
      <c r="C7" s="32">
        <v>0.25</v>
      </c>
      <c r="D7" s="30">
        <f>Rabbet</f>
        <v>0.25</v>
      </c>
      <c r="E7" s="31" t="s">
        <v>63</v>
      </c>
    </row>
    <row r="8" spans="1:8" ht="15.75" x14ac:dyDescent="0.25">
      <c r="A8" t="s">
        <v>49</v>
      </c>
      <c r="B8" s="23" t="s">
        <v>46</v>
      </c>
      <c r="C8" s="32">
        <v>6.25E-2</v>
      </c>
      <c r="D8" s="30">
        <v>6.25E-2</v>
      </c>
      <c r="E8" s="31"/>
    </row>
    <row r="9" spans="1:8" ht="15.75" x14ac:dyDescent="0.25">
      <c r="A9" t="s">
        <v>0</v>
      </c>
      <c r="B9" s="23" t="s">
        <v>48</v>
      </c>
      <c r="C9" s="32">
        <v>6.25E-2</v>
      </c>
      <c r="D9" s="30">
        <v>6.25E-2</v>
      </c>
      <c r="E9" s="31" t="s">
        <v>63</v>
      </c>
    </row>
    <row r="10" spans="1:8" ht="15.75" x14ac:dyDescent="0.25">
      <c r="A10" t="s">
        <v>1</v>
      </c>
      <c r="B10" s="23" t="s">
        <v>53</v>
      </c>
      <c r="C10" s="32">
        <v>0.125</v>
      </c>
      <c r="D10" s="30">
        <v>0.125</v>
      </c>
      <c r="E10" s="31" t="s">
        <v>63</v>
      </c>
    </row>
    <row r="12" spans="1:8" x14ac:dyDescent="0.25">
      <c r="B12" s="23" t="s">
        <v>56</v>
      </c>
    </row>
    <row r="13" spans="1:8" x14ac:dyDescent="0.25">
      <c r="A13" t="s">
        <v>57</v>
      </c>
      <c r="B13" s="23" t="s">
        <v>61</v>
      </c>
      <c r="C13" s="32">
        <v>15.0625</v>
      </c>
      <c r="D13" s="33">
        <v>15.0625</v>
      </c>
    </row>
    <row r="14" spans="1:8" x14ac:dyDescent="0.25">
      <c r="A14" t="s">
        <v>58</v>
      </c>
      <c r="B14" s="23" t="s">
        <v>62</v>
      </c>
      <c r="C14" s="32">
        <v>8</v>
      </c>
      <c r="D14" s="33">
        <v>8</v>
      </c>
    </row>
    <row r="15" spans="1:8" x14ac:dyDescent="0.25">
      <c r="B15" s="23"/>
      <c r="C15" s="27"/>
    </row>
    <row r="16" spans="1:8" x14ac:dyDescent="0.25">
      <c r="A16" s="26" t="s">
        <v>60</v>
      </c>
      <c r="B16" s="23"/>
      <c r="C16" s="27"/>
    </row>
    <row r="17" spans="1:5" x14ac:dyDescent="0.25">
      <c r="B17" s="23"/>
      <c r="C17" s="27"/>
    </row>
    <row r="18" spans="1:5" x14ac:dyDescent="0.25">
      <c r="A18" s="23" t="s">
        <v>47</v>
      </c>
      <c r="B18" s="23"/>
    </row>
    <row r="19" spans="1:5" x14ac:dyDescent="0.25">
      <c r="B19" s="23" t="s">
        <v>50</v>
      </c>
      <c r="C19" s="24" t="s">
        <v>41</v>
      </c>
      <c r="D19" s="24" t="s">
        <v>51</v>
      </c>
      <c r="E19" s="24" t="s">
        <v>66</v>
      </c>
    </row>
    <row r="20" spans="1:5" x14ac:dyDescent="0.25">
      <c r="B20" s="23" t="s">
        <v>71</v>
      </c>
      <c r="C20" s="4">
        <f>PWidth+Allowance - 2*Rabbet</f>
        <v>14.625</v>
      </c>
      <c r="D20" s="4">
        <f>Pheight+Allowance-2*Rabbet</f>
        <v>7.5625</v>
      </c>
      <c r="E20" s="4"/>
    </row>
    <row r="21" spans="1:5" x14ac:dyDescent="0.25">
      <c r="B21" s="23" t="s">
        <v>72</v>
      </c>
      <c r="C21" s="4">
        <f>C13+Allowance</f>
        <v>15.125</v>
      </c>
      <c r="D21" s="4">
        <f>C14+Allowance</f>
        <v>8.0625</v>
      </c>
      <c r="E21" s="4"/>
    </row>
    <row r="22" spans="1:5" x14ac:dyDescent="0.25">
      <c r="B22" s="23" t="s">
        <v>70</v>
      </c>
      <c r="C22" s="4">
        <f>C20+2*Width</f>
        <v>19.625</v>
      </c>
      <c r="D22" s="4">
        <f>D20+2*Width</f>
        <v>12.5625</v>
      </c>
      <c r="E22" s="4"/>
    </row>
    <row r="23" spans="1:5" ht="30" customHeight="1" x14ac:dyDescent="0.25">
      <c r="B23" s="29" t="s">
        <v>59</v>
      </c>
      <c r="C23" s="4">
        <f>2*(1.414*Kerf+C22)</f>
        <v>39.603499999999997</v>
      </c>
      <c r="D23" s="4">
        <f>2*(1.414*Kerf+D22)</f>
        <v>25.4785</v>
      </c>
      <c r="E23" s="4">
        <f>SUM(C23:D23)</f>
        <v>65.081999999999994</v>
      </c>
    </row>
    <row r="24" spans="1:5" x14ac:dyDescent="0.25">
      <c r="C24" s="4"/>
      <c r="D24" s="4"/>
      <c r="E24" s="4"/>
    </row>
    <row r="25" spans="1:5" x14ac:dyDescent="0.25">
      <c r="B25" s="23" t="s">
        <v>52</v>
      </c>
      <c r="C25" s="24" t="s">
        <v>41</v>
      </c>
      <c r="D25" s="24" t="s">
        <v>51</v>
      </c>
      <c r="E25" s="24" t="s">
        <v>66</v>
      </c>
    </row>
    <row r="26" spans="1:5" x14ac:dyDescent="0.25">
      <c r="B26" s="23" t="s">
        <v>71</v>
      </c>
      <c r="C26" s="30">
        <f>C20</f>
        <v>14.625</v>
      </c>
      <c r="D26" s="30">
        <f t="shared" ref="D26:D29" si="0">D20</f>
        <v>7.5625</v>
      </c>
      <c r="E26" s="4"/>
    </row>
    <row r="27" spans="1:5" x14ac:dyDescent="0.25">
      <c r="B27" s="23" t="s">
        <v>72</v>
      </c>
      <c r="C27" s="30">
        <f t="shared" ref="C27" si="1">C21</f>
        <v>15.125</v>
      </c>
      <c r="D27" s="30">
        <f t="shared" si="0"/>
        <v>8.0625</v>
      </c>
      <c r="E27" s="4"/>
    </row>
    <row r="28" spans="1:5" x14ac:dyDescent="0.25">
      <c r="B28" s="23" t="s">
        <v>70</v>
      </c>
      <c r="C28" s="30">
        <f t="shared" ref="C28" si="2">C22</f>
        <v>19.625</v>
      </c>
      <c r="D28" s="30">
        <f t="shared" si="0"/>
        <v>12.5625</v>
      </c>
      <c r="E28" s="4"/>
    </row>
    <row r="29" spans="1:5" ht="29.25" customHeight="1" x14ac:dyDescent="0.25">
      <c r="B29" s="29" t="s">
        <v>59</v>
      </c>
      <c r="C29" s="30">
        <f t="shared" ref="C29" si="3">C23</f>
        <v>39.603499999999997</v>
      </c>
      <c r="D29" s="30">
        <f t="shared" si="0"/>
        <v>25.4785</v>
      </c>
      <c r="E29" s="30">
        <f>SUM(C29:D29)</f>
        <v>65.081999999999994</v>
      </c>
    </row>
    <row r="30" spans="1:5" x14ac:dyDescent="0.25">
      <c r="B30" s="25"/>
    </row>
    <row r="31" spans="1:5" x14ac:dyDescent="0.25">
      <c r="B31" s="23" t="s">
        <v>69</v>
      </c>
    </row>
  </sheetData>
  <pageMargins left="0.7" right="0.7" top="0.75" bottom="0.75" header="0.3" footer="0.3"/>
  <pageSetup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11</vt:i4>
      </vt:variant>
    </vt:vector>
  </HeadingPairs>
  <TitlesOfParts>
    <vt:vector size="14" baseType="lpstr">
      <vt:lpstr>Frame Calculator</vt:lpstr>
      <vt:lpstr>Dowel foot calculator</vt:lpstr>
      <vt:lpstr>Mitered Frame Calculator</vt:lpstr>
      <vt:lpstr>Allowance</vt:lpstr>
      <vt:lpstr>Fair</vt:lpstr>
      <vt:lpstr>Fraction</vt:lpstr>
      <vt:lpstr>Good</vt:lpstr>
      <vt:lpstr>Kerf</vt:lpstr>
      <vt:lpstr>Pheight</vt:lpstr>
      <vt:lpstr>Poor</vt:lpstr>
      <vt:lpstr>PWidth</vt:lpstr>
      <vt:lpstr>Rabbet</vt:lpstr>
      <vt:lpstr>Thickness</vt:lpstr>
      <vt:lpstr>Width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2022-05-12T06:38:43Z</dcterms:modified>
</cp:coreProperties>
</file>